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ingman\Desktop\"/>
    </mc:Choice>
  </mc:AlternateContent>
  <xr:revisionPtr revIDLastSave="0" documentId="13_ncr:1_{7FC09C08-828F-46B9-A4D9-6F4FD7238538}" xr6:coauthVersionLast="47" xr6:coauthVersionMax="47" xr10:uidLastSave="{00000000-0000-0000-0000-000000000000}"/>
  <bookViews>
    <workbookView xWindow="28680" yWindow="-120" windowWidth="29040" windowHeight="15840" xr2:uid="{AD020766-3534-4590-A49E-4C431C24B73F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2" l="1"/>
  <c r="P32" i="2"/>
  <c r="N32" i="2"/>
  <c r="M32" i="2"/>
  <c r="L32" i="2"/>
  <c r="K32" i="2"/>
  <c r="I32" i="2"/>
  <c r="K9" i="2"/>
  <c r="L9" i="2" s="1"/>
  <c r="I9" i="2"/>
  <c r="K30" i="2"/>
  <c r="L30" i="2" s="1"/>
  <c r="I30" i="2"/>
  <c r="H44" i="2"/>
  <c r="G44" i="2"/>
  <c r="K22" i="2"/>
  <c r="L22" i="2" s="1"/>
  <c r="I22" i="2"/>
  <c r="G42" i="2"/>
  <c r="G41" i="2"/>
  <c r="M37" i="2"/>
  <c r="J37" i="2"/>
  <c r="G37" i="2"/>
  <c r="I16" i="2"/>
  <c r="H17" i="2"/>
  <c r="I17" i="2" s="1"/>
  <c r="H35" i="2"/>
  <c r="H42" i="2" s="1"/>
  <c r="D37" i="2"/>
  <c r="I19" i="2"/>
  <c r="L19" i="2"/>
  <c r="N19" i="2" s="1"/>
  <c r="I20" i="2"/>
  <c r="L20" i="2"/>
  <c r="P20" i="2" s="1"/>
  <c r="E43" i="2"/>
  <c r="H43" i="2"/>
  <c r="G43" i="2"/>
  <c r="I2" i="2"/>
  <c r="L2" i="2"/>
  <c r="N2" i="2" s="1"/>
  <c r="I3" i="2"/>
  <c r="L3" i="2"/>
  <c r="P3" i="2" s="1"/>
  <c r="I4" i="2"/>
  <c r="L4" i="2"/>
  <c r="N4" i="2" s="1"/>
  <c r="I5" i="2"/>
  <c r="L5" i="2"/>
  <c r="N5" i="2" s="1"/>
  <c r="I6" i="2"/>
  <c r="L6" i="2"/>
  <c r="N6" i="2" s="1"/>
  <c r="I7" i="2"/>
  <c r="L7" i="2"/>
  <c r="N7" i="2" s="1"/>
  <c r="I8" i="2"/>
  <c r="L8" i="2"/>
  <c r="N8" i="2" s="1"/>
  <c r="I10" i="2"/>
  <c r="L10" i="2"/>
  <c r="N10" i="2" s="1"/>
  <c r="I12" i="2"/>
  <c r="L12" i="2"/>
  <c r="P12" i="2" s="1"/>
  <c r="I13" i="2"/>
  <c r="L13" i="2"/>
  <c r="N13" i="2" s="1"/>
  <c r="I14" i="2"/>
  <c r="L14" i="2"/>
  <c r="N14" i="2" s="1"/>
  <c r="I15" i="2"/>
  <c r="L15" i="2"/>
  <c r="N15" i="2" s="1"/>
  <c r="I21" i="2"/>
  <c r="L21" i="2"/>
  <c r="N21" i="2" s="1"/>
  <c r="I24" i="2"/>
  <c r="L24" i="2"/>
  <c r="N24" i="2" s="1"/>
  <c r="I25" i="2"/>
  <c r="L25" i="2"/>
  <c r="N25" i="2" s="1"/>
  <c r="I27" i="2"/>
  <c r="L27" i="2"/>
  <c r="N27" i="2" s="1"/>
  <c r="I28" i="2"/>
  <c r="L28" i="2"/>
  <c r="N28" i="2" s="1"/>
  <c r="I29" i="2"/>
  <c r="L29" i="2"/>
  <c r="N29" i="2" s="1"/>
  <c r="I34" i="2"/>
  <c r="L34" i="2"/>
  <c r="N34" i="2" s="1"/>
  <c r="P9" i="2" l="1"/>
  <c r="N9" i="2"/>
  <c r="R9" i="2" s="1"/>
  <c r="P30" i="2"/>
  <c r="N30" i="2"/>
  <c r="R30" i="2" s="1"/>
  <c r="N22" i="2"/>
  <c r="R22" i="2" s="1"/>
  <c r="P22" i="2"/>
  <c r="H37" i="2"/>
  <c r="I38" i="2" s="1"/>
  <c r="H41" i="2"/>
  <c r="I41" i="2" s="1"/>
  <c r="L37" i="2"/>
  <c r="N38" i="2" s="1"/>
  <c r="I35" i="2"/>
  <c r="N12" i="2"/>
  <c r="I43" i="2"/>
  <c r="N20" i="2"/>
  <c r="I42" i="2"/>
  <c r="P19" i="2"/>
  <c r="P5" i="2"/>
  <c r="I39" i="2"/>
  <c r="I44" i="2"/>
  <c r="P25" i="2"/>
  <c r="P15" i="2"/>
  <c r="P6" i="2"/>
  <c r="N3" i="2"/>
  <c r="P29" i="2"/>
  <c r="P34" i="2"/>
  <c r="P10" i="2"/>
  <c r="P2" i="2"/>
  <c r="P24" i="2"/>
  <c r="P28" i="2"/>
  <c r="P21" i="2"/>
  <c r="P14" i="2"/>
  <c r="P8" i="2"/>
  <c r="P4" i="2"/>
  <c r="P27" i="2"/>
  <c r="P13" i="2"/>
  <c r="P7" i="2"/>
  <c r="P37" i="2" l="1"/>
  <c r="Q38" i="2"/>
  <c r="N39" i="2"/>
  <c r="R5" i="2" l="1"/>
  <c r="R37" i="2"/>
  <c r="R7" i="2"/>
  <c r="R24" i="2"/>
  <c r="R28" i="2"/>
  <c r="R6" i="2"/>
  <c r="R15" i="2"/>
  <c r="R21" i="2"/>
  <c r="R34" i="2"/>
  <c r="R3" i="2"/>
  <c r="R10" i="2"/>
  <c r="R19" i="2"/>
  <c r="R8" i="2"/>
  <c r="R12" i="2"/>
  <c r="R2" i="2"/>
  <c r="R4" i="2"/>
  <c r="R20" i="2"/>
  <c r="R27" i="2"/>
  <c r="R14" i="2"/>
  <c r="R13" i="2"/>
  <c r="R25" i="2"/>
  <c r="R29" i="2"/>
  <c r="Q39" i="2" l="1"/>
  <c r="S39" i="2" s="1"/>
</calcChain>
</file>

<file path=xl/sharedStrings.xml><?xml version="1.0" encoding="utf-8"?>
<sst xmlns="http://schemas.openxmlformats.org/spreadsheetml/2006/main" count="311" uniqueCount="146">
  <si>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</si>
  <si>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</si>
  <si>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</si>
  <si>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</si>
  <si>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</si>
  <si>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</si>
  <si>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</si>
  <si>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</si>
  <si>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</si>
  <si>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</si>
  <si>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</si>
  <si>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</si>
  <si>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</si>
  <si>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</si>
  <si>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</si>
  <si>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</si>
  <si>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</si>
  <si>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</si>
  <si>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</si>
  <si>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</si>
  <si>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</si>
  <si>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</si>
  <si>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</si>
  <si>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</si>
  <si>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</si>
  <si>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</si>
  <si>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</si>
  <si>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22-23-01-301-025</t>
  </si>
  <si>
    <t>31420 NORTHWESTERN</t>
  </si>
  <si>
    <t>WD</t>
  </si>
  <si>
    <t>03-ARM'S LENGTH</t>
  </si>
  <si>
    <t>OFC08</t>
  </si>
  <si>
    <t>No</t>
  </si>
  <si>
    <t xml:space="preserve">  /  /    </t>
  </si>
  <si>
    <t>OFFICE LAND RATES</t>
  </si>
  <si>
    <t>22-23-01-351-004</t>
  </si>
  <si>
    <t>31513 NORTHWESTERN</t>
  </si>
  <si>
    <t>CD</t>
  </si>
  <si>
    <t>RETAIL LAND TABLE</t>
  </si>
  <si>
    <t>22-23-02-178-003</t>
  </si>
  <si>
    <t>32769 NORTHWESTERN</t>
  </si>
  <si>
    <t>RTL14</t>
  </si>
  <si>
    <t>22-23-02-226-033</t>
  </si>
  <si>
    <t>32751 MIDDLEBELT</t>
  </si>
  <si>
    <t>OFC01</t>
  </si>
  <si>
    <t>22-23-02-226-037</t>
  </si>
  <si>
    <t>32901 MIDDLEBELT</t>
  </si>
  <si>
    <t>22-23-02-476-013</t>
  </si>
  <si>
    <t>29681 MIDDLEBELT</t>
  </si>
  <si>
    <t>APT04</t>
  </si>
  <si>
    <t>APARTMENT LAND TABLE</t>
  </si>
  <si>
    <t>22-23-10-278-019</t>
  </si>
  <si>
    <t>28555 ORCHARD LAKE</t>
  </si>
  <si>
    <t>OFC05</t>
  </si>
  <si>
    <t>22-23-11-101-006</t>
  </si>
  <si>
    <t>29226 ORCHARD LAKE</t>
  </si>
  <si>
    <t>22-23-15-101-018</t>
  </si>
  <si>
    <t>32969 HAMILTON CT</t>
  </si>
  <si>
    <t>OFC12</t>
  </si>
  <si>
    <t>22-23-15-101-019</t>
  </si>
  <si>
    <t>32823 TWELVE MILE</t>
  </si>
  <si>
    <t>22-23-15-102-002</t>
  </si>
  <si>
    <t>32905 TWELVE MILE</t>
  </si>
  <si>
    <t>22-23-16-104-016</t>
  </si>
  <si>
    <t>34705 TWELVE MILE</t>
  </si>
  <si>
    <t>PTA</t>
  </si>
  <si>
    <t>OFC11</t>
  </si>
  <si>
    <t>22-23-23-351-013</t>
  </si>
  <si>
    <t>24300 ORCHARD LAKE</t>
  </si>
  <si>
    <t>OFC14</t>
  </si>
  <si>
    <t>22-23-24-101-014</t>
  </si>
  <si>
    <t>25950 MIDDLEBELT</t>
  </si>
  <si>
    <t>OFC04</t>
  </si>
  <si>
    <t>22-23-25-101-021</t>
  </si>
  <si>
    <t>23818 MIDDLEBELT</t>
  </si>
  <si>
    <t>APT01</t>
  </si>
  <si>
    <t>22-23-30-201-010</t>
  </si>
  <si>
    <t>23985 INDUSTRIAL PARK DR</t>
  </si>
  <si>
    <t>IND04</t>
  </si>
  <si>
    <t>INDUSTRIAL LAND</t>
  </si>
  <si>
    <t>22-23-30-252-021</t>
  </si>
  <si>
    <t>23689 INDUSTRIAL PARK DR</t>
  </si>
  <si>
    <t>IND05</t>
  </si>
  <si>
    <t>22-23-33-477-023</t>
  </si>
  <si>
    <t>33466 EIGHT MILE</t>
  </si>
  <si>
    <t>22-23-34-126-001</t>
  </si>
  <si>
    <t>32733 FOLSOM</t>
  </si>
  <si>
    <t>IND09</t>
  </si>
  <si>
    <t>22-23-34-126-038</t>
  </si>
  <si>
    <t>32715 FOLSOM</t>
  </si>
  <si>
    <t>22-23-35-280-007</t>
  </si>
  <si>
    <t>29805 GRAND RIVER</t>
  </si>
  <si>
    <t>OTH</t>
  </si>
  <si>
    <t>RTL09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</si>
  <si>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</si>
  <si>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</si>
  <si>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</si>
  <si>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</si>
  <si>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</si>
  <si>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</si>
  <si>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</si>
  <si>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</si>
  <si>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Office</t>
  </si>
  <si>
    <t>Retail</t>
  </si>
  <si>
    <t>Apartment</t>
  </si>
  <si>
    <t>Industrial</t>
  </si>
  <si>
    <t>22-23-18-101-007</t>
  </si>
  <si>
    <t>39100 COUNTRY CLUB</t>
  </si>
  <si>
    <t>IND06</t>
  </si>
  <si>
    <t>22-23-21-351-007</t>
  </si>
  <si>
    <t>24333 INDOPLEX</t>
  </si>
  <si>
    <t>IND07</t>
  </si>
  <si>
    <t>22-23-34-457-006</t>
  </si>
  <si>
    <t>20729 ROBINSON</t>
  </si>
  <si>
    <t>22-23-14-126-002</t>
  </si>
  <si>
    <t>30411 TWELVE MILE</t>
  </si>
  <si>
    <t>MLC</t>
  </si>
  <si>
    <t>22-23-18-200-055</t>
  </si>
  <si>
    <t>37899 TWELVE MILE</t>
  </si>
  <si>
    <t>19-MULTI PARCEL ARM'S LENGTH</t>
  </si>
  <si>
    <t>22-23-18-200-056</t>
  </si>
  <si>
    <t>22-23-30-127-030</t>
  </si>
  <si>
    <t>23730 RESEARCH</t>
  </si>
  <si>
    <t>22-23-33-477-018</t>
  </si>
  <si>
    <t>33900 EIGHT MILE</t>
  </si>
  <si>
    <t>22-23-35-276-030</t>
  </si>
  <si>
    <t>29740 GRAND RIVER</t>
  </si>
  <si>
    <t>22-23-35-276-009, 22-23-35-276-025</t>
  </si>
  <si>
    <t>22-23-36-327-015</t>
  </si>
  <si>
    <t>21331 HAMILTON AV</t>
  </si>
  <si>
    <t>RTL19</t>
  </si>
  <si>
    <t>OTHER</t>
  </si>
  <si>
    <t>22-23-36-327-012, 22-23-36-327-018</t>
  </si>
  <si>
    <t>SPECIALTY LAND TABLE</t>
  </si>
  <si>
    <t>22-23-36-376-001</t>
  </si>
  <si>
    <t>28731 GRAND RIVER</t>
  </si>
  <si>
    <t>RTL02</t>
  </si>
  <si>
    <t>22-23-30-101-018</t>
  </si>
  <si>
    <t>23900 HAGGERTY</t>
  </si>
  <si>
    <t>IND02</t>
  </si>
  <si>
    <t>22-23-34-457-001</t>
  </si>
  <si>
    <t>20780 PARKER</t>
  </si>
  <si>
    <t>22-23-10-476-038</t>
  </si>
  <si>
    <t>31690 TWELVE MILE</t>
  </si>
  <si>
    <t>22-23-34-458-008</t>
  </si>
  <si>
    <t>31780 EIGHT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</si>
</sst>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" fontId="0" fillId="0" borderId="0" xfId="0" applyNumberFormat="1"/>
    <xf numFmtId="0" fontId="0" fillId="0" borderId="0" xfId="0" quotePrefix="1"/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38" fontId="3" fillId="0" borderId="0" xfId="0" applyNumberFormat="1" applyFont="1"/>
    <xf numFmtId="167" fontId="3" fillId="0" borderId="0" xfId="0" applyNumberFormat="1" applyFont="1"/>
    <xf numFmtId="49" fontId="3" fillId="0" borderId="0" xfId="0" quotePrefix="1" applyNumberFormat="1" applyFont="1" applyAlignment="1">
      <alignment horizontal="right"/>
    </xf>
    <xf numFmtId="168" fontId="3" fillId="0" borderId="0" xfId="0" applyNumberFormat="1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8E5F-E6EB-44E0-AE2B-1B4E77158648}">
  <dimension ref="A1:BL44"/>
  <sheetViews>
    <sheetView tabSelected="1" topLeftCell="A19" workbookViewId="0">
      <selection activeCell="I42" sqref="I42"/>
    </sheetView>
  </sheetViews>
  <sheetFormatPr defaultRowHeight="15" x14ac:dyDescent="0.25"/>
  <cols>
    <col min="1" max="1" width="16" bestFit="1" customWidth="1"/>
    <col min="2" max="2" width="25.28515625" bestFit="1" customWidth="1"/>
    <col min="3" max="3" width="9.28515625" style="17" bestFit="1" customWidth="1"/>
    <col min="4" max="4" width="11.85546875" style="7" bestFit="1" customWidth="1"/>
    <col min="5" max="5" width="5.5703125" bestFit="1" customWidth="1"/>
    <col min="6" max="6" width="30.140625" bestFit="1" customWidth="1"/>
    <col min="7" max="7" width="11.85546875" style="7" bestFit="1" customWidth="1"/>
    <col min="8" max="8" width="12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.28515625" style="22" bestFit="1" customWidth="1"/>
    <col min="15" max="15" width="10.140625" style="27" bestFit="1" customWidth="1"/>
    <col min="16" max="16" width="15.5703125" style="32" bestFit="1" customWidth="1"/>
    <col min="17" max="17" width="11.5703125" style="40" bestFit="1" customWidth="1"/>
    <col min="18" max="18" width="18.85546875" style="42" bestFit="1" customWidth="1"/>
    <col min="19" max="19" width="13.28515625" bestFit="1" customWidth="1"/>
    <col min="20" max="20" width="9.42578125" bestFit="1" customWidth="1"/>
    <col min="21" max="21" width="10.855468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23.42578125" bestFit="1" customWidth="1"/>
    <col min="26" max="27" width="13.710937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s="49" customFormat="1" x14ac:dyDescent="0.25">
      <c r="A2" s="49" t="s">
        <v>27</v>
      </c>
      <c r="B2" s="49" t="s">
        <v>28</v>
      </c>
      <c r="C2" s="50">
        <v>44670</v>
      </c>
      <c r="D2" s="51">
        <v>1800000</v>
      </c>
      <c r="E2" s="49" t="s">
        <v>29</v>
      </c>
      <c r="F2" s="49" t="s">
        <v>30</v>
      </c>
      <c r="G2" s="51">
        <v>1800000</v>
      </c>
      <c r="H2" s="51">
        <v>1016130</v>
      </c>
      <c r="I2" s="52">
        <f t="shared" ref="I2:I35" si="0">H2/G2*100</f>
        <v>56.451666666666668</v>
      </c>
      <c r="J2" s="51">
        <v>2032260</v>
      </c>
      <c r="K2" s="51">
        <v>651485</v>
      </c>
      <c r="L2" s="51">
        <f t="shared" ref="L2:L34" si="1">G2-K2</f>
        <v>1148515</v>
      </c>
      <c r="M2" s="51">
        <v>1841033.3333300001</v>
      </c>
      <c r="N2" s="53">
        <f t="shared" ref="N2:N34" si="2">L2/M2</f>
        <v>0.62384258840257067</v>
      </c>
      <c r="O2" s="54">
        <v>20166</v>
      </c>
      <c r="P2" s="55">
        <f t="shared" ref="P2:P34" si="3">L2/O2</f>
        <v>56.953039769909751</v>
      </c>
      <c r="Q2" s="56" t="s">
        <v>31</v>
      </c>
      <c r="R2" s="57">
        <f>ABS(N39-N2)*100</f>
        <v>57.079476364347848</v>
      </c>
      <c r="U2" s="51">
        <v>613660</v>
      </c>
      <c r="V2" s="49" t="s">
        <v>32</v>
      </c>
      <c r="W2" s="50" t="s">
        <v>33</v>
      </c>
      <c r="Y2" s="49" t="s">
        <v>34</v>
      </c>
      <c r="Z2" s="49">
        <v>201</v>
      </c>
      <c r="AA2" s="49">
        <v>0</v>
      </c>
      <c r="AL2" s="58"/>
      <c r="BC2" s="58"/>
      <c r="BE2" s="58"/>
    </row>
    <row r="3" spans="1:64" s="49" customFormat="1" x14ac:dyDescent="0.25">
      <c r="A3" s="49" t="s">
        <v>35</v>
      </c>
      <c r="B3" s="49" t="s">
        <v>36</v>
      </c>
      <c r="C3" s="50">
        <v>44820</v>
      </c>
      <c r="D3" s="51">
        <v>676170</v>
      </c>
      <c r="E3" s="49" t="s">
        <v>29</v>
      </c>
      <c r="F3" s="49" t="s">
        <v>30</v>
      </c>
      <c r="G3" s="51">
        <v>676170</v>
      </c>
      <c r="H3" s="51">
        <v>276240</v>
      </c>
      <c r="I3" s="52">
        <f t="shared" si="0"/>
        <v>40.85363148320689</v>
      </c>
      <c r="J3" s="51">
        <v>552485</v>
      </c>
      <c r="K3" s="51">
        <v>218887</v>
      </c>
      <c r="L3" s="51">
        <f t="shared" si="1"/>
        <v>457283</v>
      </c>
      <c r="M3" s="51">
        <v>444797.33332999999</v>
      </c>
      <c r="N3" s="53">
        <f t="shared" si="2"/>
        <v>1.0280704620608343</v>
      </c>
      <c r="O3" s="54">
        <v>6147</v>
      </c>
      <c r="P3" s="55">
        <f t="shared" si="3"/>
        <v>74.391247763136491</v>
      </c>
      <c r="Q3" s="56" t="s">
        <v>31</v>
      </c>
      <c r="R3" s="57">
        <f>ABS(N39-N3)*100</f>
        <v>16.656688998521485</v>
      </c>
      <c r="U3" s="51">
        <v>201247</v>
      </c>
      <c r="V3" s="49" t="s">
        <v>32</v>
      </c>
      <c r="W3" s="50" t="s">
        <v>33</v>
      </c>
      <c r="Y3" s="49" t="s">
        <v>34</v>
      </c>
      <c r="Z3" s="49">
        <v>201</v>
      </c>
      <c r="AA3" s="49">
        <v>0</v>
      </c>
    </row>
    <row r="4" spans="1:64" x14ac:dyDescent="0.25">
      <c r="A4" t="s">
        <v>39</v>
      </c>
      <c r="B4" t="s">
        <v>40</v>
      </c>
      <c r="C4" s="17">
        <v>44770</v>
      </c>
      <c r="D4" s="7">
        <v>5350000</v>
      </c>
      <c r="E4" t="s">
        <v>37</v>
      </c>
      <c r="F4" t="s">
        <v>30</v>
      </c>
      <c r="G4" s="7">
        <v>5350000</v>
      </c>
      <c r="H4" s="7">
        <v>2414730</v>
      </c>
      <c r="I4" s="12">
        <f t="shared" si="0"/>
        <v>45.135140186915891</v>
      </c>
      <c r="J4" s="7">
        <v>5531095</v>
      </c>
      <c r="K4" s="7">
        <v>700815</v>
      </c>
      <c r="L4" s="7">
        <f t="shared" si="1"/>
        <v>4649185</v>
      </c>
      <c r="M4" s="7">
        <v>6355631.57895</v>
      </c>
      <c r="N4" s="22">
        <f t="shared" si="2"/>
        <v>0.73150637230109583</v>
      </c>
      <c r="O4" s="27">
        <v>46680</v>
      </c>
      <c r="P4" s="32">
        <f t="shared" si="3"/>
        <v>99.596936589545848</v>
      </c>
      <c r="Q4" s="37" t="s">
        <v>41</v>
      </c>
      <c r="R4" s="42">
        <f>ABS(N39-N4)*100</f>
        <v>46.313097974495335</v>
      </c>
      <c r="U4" s="7">
        <v>543977</v>
      </c>
      <c r="V4" t="s">
        <v>32</v>
      </c>
      <c r="W4" s="17" t="s">
        <v>33</v>
      </c>
      <c r="Y4" t="s">
        <v>38</v>
      </c>
      <c r="Z4">
        <v>201</v>
      </c>
      <c r="AA4">
        <v>0</v>
      </c>
    </row>
    <row r="5" spans="1:64" x14ac:dyDescent="0.25">
      <c r="A5" t="s">
        <v>42</v>
      </c>
      <c r="B5" t="s">
        <v>43</v>
      </c>
      <c r="C5" s="17">
        <v>44739</v>
      </c>
      <c r="D5" s="7">
        <v>1200000</v>
      </c>
      <c r="E5" t="s">
        <v>29</v>
      </c>
      <c r="F5" t="s">
        <v>30</v>
      </c>
      <c r="G5" s="7">
        <v>1200000</v>
      </c>
      <c r="H5" s="7">
        <v>510260</v>
      </c>
      <c r="I5" s="12">
        <f t="shared" si="0"/>
        <v>42.521666666666668</v>
      </c>
      <c r="J5" s="7">
        <v>1020514</v>
      </c>
      <c r="K5" s="7">
        <v>260369</v>
      </c>
      <c r="L5" s="7">
        <f t="shared" si="1"/>
        <v>939631</v>
      </c>
      <c r="M5" s="7">
        <v>904934.52381000004</v>
      </c>
      <c r="N5" s="22">
        <f t="shared" si="2"/>
        <v>1.0383414217018918</v>
      </c>
      <c r="O5" s="27">
        <v>11261</v>
      </c>
      <c r="P5" s="32">
        <f t="shared" si="3"/>
        <v>83.441168635112334</v>
      </c>
      <c r="Q5" s="37" t="s">
        <v>44</v>
      </c>
      <c r="R5" s="42">
        <f>ABS(N39-N5)*100</f>
        <v>15.629593034415734</v>
      </c>
      <c r="U5" s="7">
        <v>235571</v>
      </c>
      <c r="V5" t="s">
        <v>32</v>
      </c>
      <c r="W5" s="17" t="s">
        <v>33</v>
      </c>
      <c r="Y5" t="s">
        <v>34</v>
      </c>
      <c r="Z5">
        <v>201</v>
      </c>
      <c r="AA5">
        <v>0</v>
      </c>
    </row>
    <row r="6" spans="1:64" s="49" customFormat="1" x14ac:dyDescent="0.25">
      <c r="A6" s="49" t="s">
        <v>45</v>
      </c>
      <c r="B6" s="49" t="s">
        <v>46</v>
      </c>
      <c r="C6" s="50">
        <v>44839</v>
      </c>
      <c r="D6" s="51">
        <v>837500</v>
      </c>
      <c r="E6" s="49" t="s">
        <v>29</v>
      </c>
      <c r="F6" s="49" t="s">
        <v>30</v>
      </c>
      <c r="G6" s="51">
        <v>837500</v>
      </c>
      <c r="H6" s="51">
        <v>404140</v>
      </c>
      <c r="I6" s="52">
        <f t="shared" si="0"/>
        <v>48.255522388059703</v>
      </c>
      <c r="J6" s="51">
        <v>808283</v>
      </c>
      <c r="K6" s="51">
        <v>201491</v>
      </c>
      <c r="L6" s="51">
        <f t="shared" si="1"/>
        <v>636009</v>
      </c>
      <c r="M6" s="51">
        <v>722371.42856999999</v>
      </c>
      <c r="N6" s="53">
        <f t="shared" si="2"/>
        <v>0.88044595182707841</v>
      </c>
      <c r="O6" s="54">
        <v>8867</v>
      </c>
      <c r="P6" s="55">
        <f t="shared" si="3"/>
        <v>71.727641817976775</v>
      </c>
      <c r="Q6" s="56" t="s">
        <v>44</v>
      </c>
      <c r="R6" s="57">
        <f>ABS(N39-N6)*100</f>
        <v>31.419140021897075</v>
      </c>
      <c r="U6" s="51">
        <v>183777</v>
      </c>
      <c r="V6" s="49" t="s">
        <v>32</v>
      </c>
      <c r="W6" s="50" t="s">
        <v>33</v>
      </c>
      <c r="Y6" s="49" t="s">
        <v>34</v>
      </c>
      <c r="Z6" s="49">
        <v>201</v>
      </c>
      <c r="AA6" s="49">
        <v>0</v>
      </c>
    </row>
    <row r="7" spans="1:64" s="49" customFormat="1" x14ac:dyDescent="0.25">
      <c r="A7" s="49" t="s">
        <v>47</v>
      </c>
      <c r="B7" s="49" t="s">
        <v>48</v>
      </c>
      <c r="C7" s="50">
        <v>44743</v>
      </c>
      <c r="D7" s="51">
        <v>7450000</v>
      </c>
      <c r="E7" s="49" t="s">
        <v>37</v>
      </c>
      <c r="F7" s="49" t="s">
        <v>30</v>
      </c>
      <c r="G7" s="51">
        <v>7450000</v>
      </c>
      <c r="H7" s="51">
        <v>3565260</v>
      </c>
      <c r="I7" s="52">
        <f t="shared" si="0"/>
        <v>47.855838926174499</v>
      </c>
      <c r="J7" s="51">
        <v>7130525</v>
      </c>
      <c r="K7" s="51">
        <v>759907</v>
      </c>
      <c r="L7" s="51">
        <f t="shared" si="1"/>
        <v>6690093</v>
      </c>
      <c r="M7" s="51">
        <v>6125594.2307700003</v>
      </c>
      <c r="N7" s="53">
        <f t="shared" si="2"/>
        <v>1.0921541238227006</v>
      </c>
      <c r="O7" s="54">
        <v>49769</v>
      </c>
      <c r="P7" s="55">
        <f t="shared" si="3"/>
        <v>134.42289376921377</v>
      </c>
      <c r="Q7" s="56" t="s">
        <v>49</v>
      </c>
      <c r="R7" s="57">
        <f>ABS(N39-N7)*100</f>
        <v>10.248322822334854</v>
      </c>
      <c r="U7" s="51">
        <v>728323</v>
      </c>
      <c r="V7" s="49" t="s">
        <v>32</v>
      </c>
      <c r="W7" s="50" t="s">
        <v>33</v>
      </c>
      <c r="Y7" s="49" t="s">
        <v>50</v>
      </c>
      <c r="Z7" s="49">
        <v>201</v>
      </c>
      <c r="AA7" s="49">
        <v>0</v>
      </c>
    </row>
    <row r="8" spans="1:64" x14ac:dyDescent="0.25">
      <c r="A8" t="s">
        <v>51</v>
      </c>
      <c r="B8" t="s">
        <v>52</v>
      </c>
      <c r="C8" s="17">
        <v>44727</v>
      </c>
      <c r="D8" s="7">
        <v>3350000</v>
      </c>
      <c r="E8" t="s">
        <v>37</v>
      </c>
      <c r="F8" t="s">
        <v>30</v>
      </c>
      <c r="G8" s="7">
        <v>3350000</v>
      </c>
      <c r="H8" s="7">
        <v>2750060</v>
      </c>
      <c r="I8" s="12">
        <f t="shared" si="0"/>
        <v>82.091343283582091</v>
      </c>
      <c r="J8" s="7">
        <v>5500125</v>
      </c>
      <c r="K8" s="7">
        <v>710029</v>
      </c>
      <c r="L8" s="7">
        <f t="shared" si="1"/>
        <v>2639971</v>
      </c>
      <c r="M8" s="7">
        <v>5322328.8888900001</v>
      </c>
      <c r="N8" s="22">
        <f t="shared" si="2"/>
        <v>0.49601801300005344</v>
      </c>
      <c r="O8" s="27">
        <v>39687</v>
      </c>
      <c r="P8" s="32">
        <f t="shared" si="3"/>
        <v>66.519792375337019</v>
      </c>
      <c r="Q8" s="37" t="s">
        <v>53</v>
      </c>
      <c r="R8" s="42">
        <f>ABS(N39-N8)*100</f>
        <v>69.861933904599567</v>
      </c>
      <c r="U8" s="7">
        <v>611216</v>
      </c>
      <c r="V8" t="s">
        <v>32</v>
      </c>
      <c r="W8" s="17" t="s">
        <v>33</v>
      </c>
      <c r="Y8" t="s">
        <v>34</v>
      </c>
      <c r="Z8">
        <v>201</v>
      </c>
      <c r="AA8">
        <v>0</v>
      </c>
    </row>
    <row r="9" spans="1:64" s="49" customFormat="1" x14ac:dyDescent="0.25">
      <c r="A9" s="49" t="s">
        <v>142</v>
      </c>
      <c r="B9" s="49" t="s">
        <v>143</v>
      </c>
      <c r="C9" s="50">
        <v>45015</v>
      </c>
      <c r="D9" s="51">
        <v>1375000</v>
      </c>
      <c r="E9" s="49" t="s">
        <v>65</v>
      </c>
      <c r="F9" s="49" t="s">
        <v>30</v>
      </c>
      <c r="G9" s="51">
        <v>1375000</v>
      </c>
      <c r="H9" s="51">
        <v>519410</v>
      </c>
      <c r="I9" s="52">
        <f t="shared" si="0"/>
        <v>37.775272727272728</v>
      </c>
      <c r="J9" s="51">
        <v>1038818</v>
      </c>
      <c r="K9" s="51">
        <f>198000+16285</f>
        <v>214285</v>
      </c>
      <c r="L9" s="51">
        <f t="shared" si="1"/>
        <v>1160715</v>
      </c>
      <c r="M9" s="51">
        <v>1099375</v>
      </c>
      <c r="N9" s="53">
        <f t="shared" si="2"/>
        <v>1.0557953382603753</v>
      </c>
      <c r="O9" s="54">
        <v>11756</v>
      </c>
      <c r="P9" s="55">
        <f t="shared" si="3"/>
        <v>98.733838040149706</v>
      </c>
      <c r="Q9" s="56" t="s">
        <v>31</v>
      </c>
      <c r="R9" s="57">
        <f>ABS(N40-N9)*100</f>
        <v>105.57953382603753</v>
      </c>
      <c r="U9" s="51">
        <v>198000</v>
      </c>
      <c r="W9" s="50"/>
    </row>
    <row r="10" spans="1:64" x14ac:dyDescent="0.25">
      <c r="A10" t="s">
        <v>54</v>
      </c>
      <c r="B10" t="s">
        <v>55</v>
      </c>
      <c r="C10" s="17">
        <v>44652</v>
      </c>
      <c r="D10" s="7">
        <v>975000</v>
      </c>
      <c r="E10" t="s">
        <v>29</v>
      </c>
      <c r="F10" t="s">
        <v>30</v>
      </c>
      <c r="G10" s="7">
        <v>975000</v>
      </c>
      <c r="H10" s="7">
        <v>484650</v>
      </c>
      <c r="I10" s="12">
        <f t="shared" si="0"/>
        <v>49.707692307692305</v>
      </c>
      <c r="J10" s="7">
        <v>969302</v>
      </c>
      <c r="K10" s="7">
        <v>280654</v>
      </c>
      <c r="L10" s="7">
        <f t="shared" si="1"/>
        <v>694346</v>
      </c>
      <c r="M10" s="7">
        <v>765164.44443999999</v>
      </c>
      <c r="N10" s="22">
        <f t="shared" si="2"/>
        <v>0.90744676526125068</v>
      </c>
      <c r="O10" s="27">
        <v>19500</v>
      </c>
      <c r="P10" s="32">
        <f t="shared" si="3"/>
        <v>35.60748717948718</v>
      </c>
      <c r="Q10" s="37" t="s">
        <v>53</v>
      </c>
      <c r="R10" s="42">
        <f>ABS(N39-N10)*100</f>
        <v>28.719058678479847</v>
      </c>
      <c r="U10" s="7">
        <v>248751</v>
      </c>
      <c r="V10" t="s">
        <v>32</v>
      </c>
      <c r="W10" s="17" t="s">
        <v>33</v>
      </c>
      <c r="Y10" t="s">
        <v>34</v>
      </c>
      <c r="Z10">
        <v>201</v>
      </c>
      <c r="AA10">
        <v>0</v>
      </c>
    </row>
    <row r="11" spans="1:64" x14ac:dyDescent="0.25">
      <c r="A11" t="s">
        <v>114</v>
      </c>
      <c r="B11" t="s">
        <v>115</v>
      </c>
      <c r="C11" s="17">
        <v>44917</v>
      </c>
      <c r="D11" s="7">
        <v>220000</v>
      </c>
      <c r="E11" t="s">
        <v>116</v>
      </c>
      <c r="F11" t="s">
        <v>30</v>
      </c>
      <c r="G11" s="7">
        <v>220000</v>
      </c>
      <c r="H11" s="7">
        <v>150100</v>
      </c>
      <c r="I11" s="12">
        <v>68.22727272727272</v>
      </c>
      <c r="J11" s="7">
        <v>300192</v>
      </c>
      <c r="K11" s="7">
        <v>159202</v>
      </c>
      <c r="L11" s="7">
        <v>60798</v>
      </c>
      <c r="M11" s="7">
        <v>187986.66667000001</v>
      </c>
      <c r="N11" s="22">
        <v>0.32341655435982308</v>
      </c>
      <c r="O11" s="27">
        <v>1976</v>
      </c>
      <c r="P11" s="32">
        <v>30.768218623481783</v>
      </c>
      <c r="Q11" s="37" t="s">
        <v>31</v>
      </c>
      <c r="R11" s="42">
        <v>86.99519548602261</v>
      </c>
      <c r="U11" s="7">
        <v>149820</v>
      </c>
      <c r="V11" t="s">
        <v>32</v>
      </c>
      <c r="W11" s="17" t="s">
        <v>33</v>
      </c>
      <c r="Y11" t="s">
        <v>34</v>
      </c>
      <c r="Z11">
        <v>201</v>
      </c>
      <c r="AA11">
        <v>0</v>
      </c>
    </row>
    <row r="12" spans="1:64" s="49" customFormat="1" x14ac:dyDescent="0.25">
      <c r="A12" s="49" t="s">
        <v>56</v>
      </c>
      <c r="B12" s="49" t="s">
        <v>57</v>
      </c>
      <c r="C12" s="50">
        <v>44732</v>
      </c>
      <c r="D12" s="51">
        <v>2550000</v>
      </c>
      <c r="E12" s="49" t="s">
        <v>29</v>
      </c>
      <c r="F12" s="49" t="s">
        <v>30</v>
      </c>
      <c r="G12" s="51">
        <v>2550000</v>
      </c>
      <c r="H12" s="51">
        <v>1598500</v>
      </c>
      <c r="I12" s="52">
        <f t="shared" si="0"/>
        <v>62.686274509803916</v>
      </c>
      <c r="J12" s="51">
        <v>3197008</v>
      </c>
      <c r="K12" s="51">
        <v>622025</v>
      </c>
      <c r="L12" s="51">
        <f t="shared" si="1"/>
        <v>1927975</v>
      </c>
      <c r="M12" s="51">
        <v>2768798.9247300001</v>
      </c>
      <c r="N12" s="53">
        <f t="shared" si="2"/>
        <v>0.69632178154215618</v>
      </c>
      <c r="O12" s="54">
        <v>40768</v>
      </c>
      <c r="P12" s="55">
        <f t="shared" si="3"/>
        <v>47.291380494505496</v>
      </c>
      <c r="Q12" s="56" t="s">
        <v>58</v>
      </c>
      <c r="R12" s="57">
        <f>ABS(N39-N12)*100</f>
        <v>49.8315570503893</v>
      </c>
      <c r="U12" s="51">
        <v>569666</v>
      </c>
      <c r="V12" s="49" t="s">
        <v>32</v>
      </c>
      <c r="W12" s="50" t="s">
        <v>33</v>
      </c>
      <c r="Y12" s="49" t="s">
        <v>34</v>
      </c>
      <c r="Z12" s="49">
        <v>201</v>
      </c>
      <c r="AA12" s="49">
        <v>0</v>
      </c>
    </row>
    <row r="13" spans="1:64" x14ac:dyDescent="0.25">
      <c r="A13" t="s">
        <v>59</v>
      </c>
      <c r="B13" t="s">
        <v>60</v>
      </c>
      <c r="C13" s="17">
        <v>44677</v>
      </c>
      <c r="D13" s="7">
        <v>925000</v>
      </c>
      <c r="E13" t="s">
        <v>29</v>
      </c>
      <c r="F13" t="s">
        <v>30</v>
      </c>
      <c r="G13" s="7">
        <v>925000</v>
      </c>
      <c r="H13" s="7">
        <v>542640</v>
      </c>
      <c r="I13" s="12">
        <f t="shared" si="0"/>
        <v>58.663783783783785</v>
      </c>
      <c r="J13" s="7">
        <v>1085282</v>
      </c>
      <c r="K13" s="7">
        <v>513296</v>
      </c>
      <c r="L13" s="7">
        <f t="shared" si="1"/>
        <v>411704</v>
      </c>
      <c r="M13" s="7">
        <v>762648</v>
      </c>
      <c r="N13" s="22">
        <f t="shared" si="2"/>
        <v>0.53983489106376725</v>
      </c>
      <c r="O13" s="27">
        <v>10362</v>
      </c>
      <c r="P13" s="32">
        <f t="shared" si="3"/>
        <v>39.732098050569391</v>
      </c>
      <c r="Q13" s="37" t="s">
        <v>31</v>
      </c>
      <c r="R13" s="42">
        <f>ABS(N39-N13)*100</f>
        <v>65.480246098228193</v>
      </c>
      <c r="U13" s="7">
        <v>468281</v>
      </c>
      <c r="V13" t="s">
        <v>32</v>
      </c>
      <c r="W13" s="17" t="s">
        <v>33</v>
      </c>
      <c r="Y13" t="s">
        <v>34</v>
      </c>
      <c r="Z13">
        <v>201</v>
      </c>
      <c r="AA13">
        <v>0</v>
      </c>
    </row>
    <row r="14" spans="1:64" s="49" customFormat="1" x14ac:dyDescent="0.25">
      <c r="A14" s="49" t="s">
        <v>61</v>
      </c>
      <c r="B14" s="49" t="s">
        <v>62</v>
      </c>
      <c r="C14" s="50">
        <v>44659</v>
      </c>
      <c r="D14" s="51">
        <v>150000</v>
      </c>
      <c r="E14" s="49" t="s">
        <v>29</v>
      </c>
      <c r="F14" s="49" t="s">
        <v>30</v>
      </c>
      <c r="G14" s="51">
        <v>150000</v>
      </c>
      <c r="H14" s="51">
        <v>107570</v>
      </c>
      <c r="I14" s="52">
        <f t="shared" si="0"/>
        <v>71.713333333333324</v>
      </c>
      <c r="J14" s="51">
        <v>215133</v>
      </c>
      <c r="K14" s="51">
        <v>92036</v>
      </c>
      <c r="L14" s="51">
        <f t="shared" si="1"/>
        <v>57964</v>
      </c>
      <c r="M14" s="51">
        <v>146544.04762</v>
      </c>
      <c r="N14" s="53">
        <f t="shared" si="2"/>
        <v>0.39553977757121267</v>
      </c>
      <c r="O14" s="54">
        <v>1704</v>
      </c>
      <c r="P14" s="55">
        <f t="shared" si="3"/>
        <v>34.016431924882632</v>
      </c>
      <c r="Q14" s="56" t="s">
        <v>44</v>
      </c>
      <c r="R14" s="57">
        <f>ABS(N39-N14)*100</f>
        <v>79.909757447483656</v>
      </c>
      <c r="U14" s="51">
        <v>84480</v>
      </c>
      <c r="V14" s="49" t="s">
        <v>32</v>
      </c>
      <c r="W14" s="50" t="s">
        <v>33</v>
      </c>
      <c r="Y14" s="49" t="s">
        <v>34</v>
      </c>
      <c r="Z14" s="49">
        <v>201</v>
      </c>
      <c r="AA14" s="49">
        <v>0</v>
      </c>
    </row>
    <row r="15" spans="1:64" x14ac:dyDescent="0.25">
      <c r="A15" t="s">
        <v>63</v>
      </c>
      <c r="B15" t="s">
        <v>64</v>
      </c>
      <c r="C15" s="17">
        <v>44734</v>
      </c>
      <c r="D15" s="7">
        <v>15900000</v>
      </c>
      <c r="E15" t="s">
        <v>65</v>
      </c>
      <c r="F15" t="s">
        <v>30</v>
      </c>
      <c r="G15" s="7">
        <v>15900000</v>
      </c>
      <c r="H15" s="7">
        <v>5328530</v>
      </c>
      <c r="I15" s="12">
        <f t="shared" si="0"/>
        <v>33.512767295597484</v>
      </c>
      <c r="J15" s="7">
        <v>10657058</v>
      </c>
      <c r="K15" s="7">
        <v>2244851</v>
      </c>
      <c r="L15" s="7">
        <f t="shared" si="1"/>
        <v>13655149</v>
      </c>
      <c r="M15" s="7">
        <v>16824414</v>
      </c>
      <c r="N15" s="22">
        <f t="shared" si="2"/>
        <v>0.81162702011493537</v>
      </c>
      <c r="O15" s="27">
        <v>130463</v>
      </c>
      <c r="P15" s="32">
        <f t="shared" si="3"/>
        <v>104.66683274185019</v>
      </c>
      <c r="Q15" s="37" t="s">
        <v>66</v>
      </c>
      <c r="R15" s="42">
        <f>ABS(N39-N15)*100</f>
        <v>38.30103319311138</v>
      </c>
      <c r="U15" s="7">
        <v>2037772</v>
      </c>
      <c r="V15" t="s">
        <v>32</v>
      </c>
      <c r="W15" s="17" t="s">
        <v>33</v>
      </c>
      <c r="Y15" t="s">
        <v>34</v>
      </c>
      <c r="Z15">
        <v>201</v>
      </c>
      <c r="AA15">
        <v>0</v>
      </c>
    </row>
    <row r="16" spans="1:64" x14ac:dyDescent="0.25">
      <c r="A16" t="s">
        <v>106</v>
      </c>
      <c r="B16" t="s">
        <v>107</v>
      </c>
      <c r="C16" s="17">
        <v>44757</v>
      </c>
      <c r="D16" s="7">
        <v>2430000</v>
      </c>
      <c r="E16" t="s">
        <v>29</v>
      </c>
      <c r="F16" t="s">
        <v>30</v>
      </c>
      <c r="G16" s="7">
        <v>2430000</v>
      </c>
      <c r="H16" s="7">
        <v>1687220</v>
      </c>
      <c r="I16" s="12">
        <f t="shared" si="0"/>
        <v>69.432921810699582</v>
      </c>
      <c r="J16" s="7">
        <v>3374440</v>
      </c>
      <c r="K16" s="7">
        <v>340523</v>
      </c>
      <c r="L16" s="7">
        <v>2089477</v>
      </c>
      <c r="M16" s="7">
        <v>2121620.27972</v>
      </c>
      <c r="N16" s="22">
        <v>0.9848496547533746</v>
      </c>
      <c r="O16" s="27">
        <v>27307</v>
      </c>
      <c r="P16" s="32">
        <v>76.517999047863185</v>
      </c>
      <c r="Q16" s="37" t="s">
        <v>108</v>
      </c>
      <c r="R16" s="42">
        <v>16.597283325619973</v>
      </c>
      <c r="U16" s="7">
        <v>296552</v>
      </c>
      <c r="V16" t="s">
        <v>32</v>
      </c>
      <c r="W16" s="17" t="s">
        <v>33</v>
      </c>
      <c r="Y16" t="s">
        <v>79</v>
      </c>
      <c r="Z16">
        <v>201</v>
      </c>
      <c r="AA16">
        <v>0</v>
      </c>
    </row>
    <row r="17" spans="1:27" x14ac:dyDescent="0.25">
      <c r="A17" t="s">
        <v>117</v>
      </c>
      <c r="B17" t="s">
        <v>118</v>
      </c>
      <c r="C17" s="17">
        <v>44924</v>
      </c>
      <c r="D17" s="7">
        <v>1500000</v>
      </c>
      <c r="E17" t="s">
        <v>116</v>
      </c>
      <c r="F17" t="s">
        <v>119</v>
      </c>
      <c r="G17" s="7">
        <v>1500000</v>
      </c>
      <c r="H17" s="7">
        <f>413610+638900</f>
        <v>1052510</v>
      </c>
      <c r="I17" s="12">
        <f t="shared" si="0"/>
        <v>70.167333333333332</v>
      </c>
      <c r="J17" s="7">
        <v>827214</v>
      </c>
      <c r="K17" s="7">
        <v>148127</v>
      </c>
      <c r="L17" s="7">
        <v>1351873</v>
      </c>
      <c r="M17" s="7">
        <v>808436.90475999995</v>
      </c>
      <c r="N17" s="22">
        <v>1.6722059471064468</v>
      </c>
      <c r="O17" s="27">
        <v>6480</v>
      </c>
      <c r="P17" s="32">
        <v>208.62237654320987</v>
      </c>
      <c r="Q17" s="37" t="s">
        <v>44</v>
      </c>
      <c r="R17" s="42">
        <v>47.883743788639755</v>
      </c>
      <c r="U17" s="7">
        <v>135123</v>
      </c>
      <c r="V17" t="s">
        <v>32</v>
      </c>
      <c r="W17" s="17" t="s">
        <v>33</v>
      </c>
      <c r="X17" t="s">
        <v>120</v>
      </c>
      <c r="Y17" t="s">
        <v>34</v>
      </c>
      <c r="Z17">
        <v>201</v>
      </c>
      <c r="AA17">
        <v>0</v>
      </c>
    </row>
    <row r="18" spans="1:27" s="49" customFormat="1" x14ac:dyDescent="0.25">
      <c r="A18" s="49" t="s">
        <v>109</v>
      </c>
      <c r="B18" s="49" t="s">
        <v>110</v>
      </c>
      <c r="C18" s="50">
        <v>44865</v>
      </c>
      <c r="D18" s="51">
        <v>765000</v>
      </c>
      <c r="E18" s="49" t="s">
        <v>29</v>
      </c>
      <c r="F18" s="49" t="s">
        <v>30</v>
      </c>
      <c r="G18" s="51">
        <v>765000</v>
      </c>
      <c r="H18" s="51">
        <v>334880</v>
      </c>
      <c r="I18" s="52">
        <v>43.775163398692811</v>
      </c>
      <c r="J18" s="51">
        <v>669758</v>
      </c>
      <c r="K18" s="51">
        <v>139473</v>
      </c>
      <c r="L18" s="51">
        <v>625527</v>
      </c>
      <c r="M18" s="51">
        <v>434659.83607000002</v>
      </c>
      <c r="N18" s="53">
        <v>1.4391184740134622</v>
      </c>
      <c r="O18" s="54">
        <v>12312</v>
      </c>
      <c r="P18" s="55">
        <v>50.8062865497076</v>
      </c>
      <c r="Q18" s="56" t="s">
        <v>111</v>
      </c>
      <c r="R18" s="57">
        <v>28.829598600388785</v>
      </c>
      <c r="U18" s="51">
        <v>114913</v>
      </c>
      <c r="V18" s="49" t="s">
        <v>32</v>
      </c>
      <c r="W18" s="50" t="s">
        <v>33</v>
      </c>
      <c r="Y18" s="49" t="s">
        <v>79</v>
      </c>
      <c r="Z18" s="49">
        <v>301</v>
      </c>
      <c r="AA18" s="49">
        <v>0</v>
      </c>
    </row>
    <row r="19" spans="1:27" s="49" customFormat="1" x14ac:dyDescent="0.25">
      <c r="A19" s="49" t="s">
        <v>67</v>
      </c>
      <c r="B19" s="49" t="s">
        <v>68</v>
      </c>
      <c r="C19" s="50">
        <v>44771</v>
      </c>
      <c r="D19" s="51">
        <v>315000</v>
      </c>
      <c r="E19" s="49" t="s">
        <v>29</v>
      </c>
      <c r="F19" s="49" t="s">
        <v>30</v>
      </c>
      <c r="G19" s="51">
        <v>315000</v>
      </c>
      <c r="H19" s="51">
        <v>214280</v>
      </c>
      <c r="I19" s="52">
        <f t="shared" si="0"/>
        <v>68.025396825396825</v>
      </c>
      <c r="J19" s="51">
        <v>428553</v>
      </c>
      <c r="K19" s="51">
        <v>164126</v>
      </c>
      <c r="L19" s="51">
        <f t="shared" si="1"/>
        <v>150874</v>
      </c>
      <c r="M19" s="51">
        <v>326453.08642000001</v>
      </c>
      <c r="N19" s="53">
        <f t="shared" si="2"/>
        <v>0.46216135266030917</v>
      </c>
      <c r="O19" s="54">
        <v>4412</v>
      </c>
      <c r="P19" s="55">
        <f t="shared" si="3"/>
        <v>34.196282864913869</v>
      </c>
      <c r="Q19" s="56" t="s">
        <v>69</v>
      </c>
      <c r="R19" s="57">
        <f>ABS(N39-N19)*100</f>
        <v>73.247599938573998</v>
      </c>
      <c r="U19" s="51">
        <v>145200</v>
      </c>
      <c r="V19" s="49" t="s">
        <v>32</v>
      </c>
      <c r="W19" s="50" t="s">
        <v>33</v>
      </c>
      <c r="Y19" s="49" t="s">
        <v>34</v>
      </c>
      <c r="Z19" s="49">
        <v>201</v>
      </c>
      <c r="AA19" s="49">
        <v>0</v>
      </c>
    </row>
    <row r="20" spans="1:27" x14ac:dyDescent="0.25">
      <c r="A20" t="s">
        <v>70</v>
      </c>
      <c r="B20" t="s">
        <v>71</v>
      </c>
      <c r="C20" s="17">
        <v>44767</v>
      </c>
      <c r="D20" s="7">
        <v>825000</v>
      </c>
      <c r="E20" t="s">
        <v>37</v>
      </c>
      <c r="F20" t="s">
        <v>30</v>
      </c>
      <c r="G20" s="7">
        <v>825000</v>
      </c>
      <c r="H20" s="7">
        <v>349880</v>
      </c>
      <c r="I20" s="12">
        <f t="shared" si="0"/>
        <v>42.409696969696967</v>
      </c>
      <c r="J20" s="7">
        <v>699757</v>
      </c>
      <c r="K20" s="7">
        <v>189524</v>
      </c>
      <c r="L20" s="7">
        <f t="shared" si="1"/>
        <v>635476</v>
      </c>
      <c r="M20" s="7">
        <v>490608.65385</v>
      </c>
      <c r="N20" s="22">
        <f t="shared" si="2"/>
        <v>1.2952808618705942</v>
      </c>
      <c r="O20" s="27">
        <v>4397</v>
      </c>
      <c r="P20" s="32">
        <f t="shared" si="3"/>
        <v>144.52490334318853</v>
      </c>
      <c r="Q20" s="37" t="s">
        <v>72</v>
      </c>
      <c r="R20" s="42">
        <f>ABS(N39-N20)*100</f>
        <v>10.064350982454506</v>
      </c>
      <c r="U20" s="7">
        <v>159500</v>
      </c>
      <c r="V20" t="s">
        <v>32</v>
      </c>
      <c r="W20" s="17" t="s">
        <v>33</v>
      </c>
      <c r="Y20" t="s">
        <v>34</v>
      </c>
      <c r="Z20">
        <v>201</v>
      </c>
      <c r="AA20">
        <v>0</v>
      </c>
    </row>
    <row r="21" spans="1:27" s="49" customFormat="1" x14ac:dyDescent="0.25">
      <c r="A21" s="49" t="s">
        <v>73</v>
      </c>
      <c r="B21" s="49" t="s">
        <v>74</v>
      </c>
      <c r="C21" s="50">
        <v>44728</v>
      </c>
      <c r="D21" s="51">
        <v>5900000</v>
      </c>
      <c r="E21" s="49" t="s">
        <v>29</v>
      </c>
      <c r="F21" s="49" t="s">
        <v>30</v>
      </c>
      <c r="G21" s="51">
        <v>5900000</v>
      </c>
      <c r="H21" s="51">
        <v>1780240</v>
      </c>
      <c r="I21" s="52">
        <f t="shared" si="0"/>
        <v>30.173559322033899</v>
      </c>
      <c r="J21" s="51">
        <v>3560482</v>
      </c>
      <c r="K21" s="51">
        <v>694516</v>
      </c>
      <c r="L21" s="51">
        <f t="shared" si="1"/>
        <v>5205484</v>
      </c>
      <c r="M21" s="51">
        <v>2204589.2307699998</v>
      </c>
      <c r="N21" s="53">
        <f t="shared" si="2"/>
        <v>2.3612035872015369</v>
      </c>
      <c r="O21" s="54">
        <v>47109</v>
      </c>
      <c r="P21" s="55">
        <f t="shared" si="3"/>
        <v>110.4987157443376</v>
      </c>
      <c r="Q21" s="56" t="s">
        <v>75</v>
      </c>
      <c r="R21" s="57">
        <f>ABS(N39-N21)*100</f>
        <v>116.65662351554877</v>
      </c>
      <c r="U21" s="51">
        <v>665597</v>
      </c>
      <c r="V21" s="49" t="s">
        <v>32</v>
      </c>
      <c r="W21" s="50" t="s">
        <v>33</v>
      </c>
      <c r="Y21" s="49" t="s">
        <v>50</v>
      </c>
      <c r="Z21" s="49">
        <v>201</v>
      </c>
      <c r="AA21" s="49">
        <v>0</v>
      </c>
    </row>
    <row r="22" spans="1:27" x14ac:dyDescent="0.25">
      <c r="A22" t="s">
        <v>137</v>
      </c>
      <c r="B22" t="s">
        <v>138</v>
      </c>
      <c r="C22" s="17">
        <v>44974</v>
      </c>
      <c r="D22" s="7">
        <v>2000000</v>
      </c>
      <c r="E22" t="s">
        <v>65</v>
      </c>
      <c r="F22" s="48" t="s">
        <v>30</v>
      </c>
      <c r="G22" s="7">
        <v>2000000</v>
      </c>
      <c r="H22" s="7">
        <v>831430</v>
      </c>
      <c r="I22" s="12">
        <f t="shared" si="0"/>
        <v>41.5715</v>
      </c>
      <c r="J22" s="7">
        <v>1348831</v>
      </c>
      <c r="K22" s="7">
        <f>276888+37132</f>
        <v>314020</v>
      </c>
      <c r="L22" s="7">
        <f t="shared" si="1"/>
        <v>1685980</v>
      </c>
      <c r="M22" s="7">
        <v>1193657</v>
      </c>
      <c r="N22" s="22">
        <f t="shared" si="2"/>
        <v>1.4124493049510873</v>
      </c>
      <c r="O22" s="27">
        <v>28238</v>
      </c>
      <c r="P22" s="32">
        <f t="shared" si="3"/>
        <v>59.706069834974151</v>
      </c>
      <c r="Q22" s="37" t="s">
        <v>139</v>
      </c>
      <c r="R22" s="42">
        <f>ABS(N40-N22)*100</f>
        <v>141.24493049510875</v>
      </c>
    </row>
    <row r="23" spans="1:27" s="49" customFormat="1" x14ac:dyDescent="0.25">
      <c r="A23" s="49" t="s">
        <v>121</v>
      </c>
      <c r="B23" s="49" t="s">
        <v>122</v>
      </c>
      <c r="C23" s="50">
        <v>44949</v>
      </c>
      <c r="D23" s="51">
        <v>740000</v>
      </c>
      <c r="E23" s="49" t="s">
        <v>65</v>
      </c>
      <c r="F23" s="49" t="s">
        <v>30</v>
      </c>
      <c r="G23" s="51">
        <v>740000</v>
      </c>
      <c r="H23" s="51">
        <v>259960</v>
      </c>
      <c r="I23" s="52">
        <v>35.129729729729732</v>
      </c>
      <c r="J23" s="51">
        <v>519923</v>
      </c>
      <c r="K23" s="51">
        <v>117204</v>
      </c>
      <c r="L23" s="51">
        <v>622796</v>
      </c>
      <c r="M23" s="51">
        <v>268479.33332999999</v>
      </c>
      <c r="N23" s="53">
        <v>2.3197167255868201</v>
      </c>
      <c r="O23" s="54">
        <v>7936</v>
      </c>
      <c r="P23" s="55">
        <v>78.477318548387103</v>
      </c>
      <c r="Q23" s="56" t="s">
        <v>78</v>
      </c>
      <c r="R23" s="57">
        <v>112.63482163667709</v>
      </c>
      <c r="U23" s="51">
        <v>91130</v>
      </c>
      <c r="V23" s="49" t="s">
        <v>32</v>
      </c>
      <c r="W23" s="50" t="s">
        <v>33</v>
      </c>
      <c r="Y23" s="49" t="s">
        <v>79</v>
      </c>
      <c r="Z23" s="49">
        <v>301</v>
      </c>
      <c r="AA23" s="49">
        <v>0</v>
      </c>
    </row>
    <row r="24" spans="1:27" x14ac:dyDescent="0.25">
      <c r="A24" t="s">
        <v>76</v>
      </c>
      <c r="B24" t="s">
        <v>77</v>
      </c>
      <c r="C24" s="17">
        <v>44826</v>
      </c>
      <c r="D24" s="7">
        <v>1950000</v>
      </c>
      <c r="E24" t="s">
        <v>65</v>
      </c>
      <c r="F24" t="s">
        <v>30</v>
      </c>
      <c r="G24" s="7">
        <v>1950000</v>
      </c>
      <c r="H24" s="7">
        <v>904370</v>
      </c>
      <c r="I24" s="12">
        <f t="shared" si="0"/>
        <v>46.377948717948719</v>
      </c>
      <c r="J24" s="7">
        <v>1808746</v>
      </c>
      <c r="K24" s="7">
        <v>404108</v>
      </c>
      <c r="L24" s="7">
        <f t="shared" si="1"/>
        <v>1545892</v>
      </c>
      <c r="M24" s="7">
        <v>936425.33333000005</v>
      </c>
      <c r="N24" s="22">
        <f t="shared" si="2"/>
        <v>1.6508438473174256</v>
      </c>
      <c r="O24" s="27">
        <v>20656</v>
      </c>
      <c r="P24" s="32">
        <f t="shared" si="3"/>
        <v>74.839852827265688</v>
      </c>
      <c r="Q24" s="37" t="s">
        <v>78</v>
      </c>
      <c r="R24" s="42">
        <f>ABS(N39-N24)*100</f>
        <v>45.620649527137644</v>
      </c>
      <c r="U24" s="7">
        <v>334559</v>
      </c>
      <c r="V24" t="s">
        <v>32</v>
      </c>
      <c r="W24" s="17" t="s">
        <v>33</v>
      </c>
      <c r="Y24" t="s">
        <v>79</v>
      </c>
      <c r="Z24">
        <v>301</v>
      </c>
      <c r="AA24">
        <v>0</v>
      </c>
    </row>
    <row r="25" spans="1:27" x14ac:dyDescent="0.25">
      <c r="A25" t="s">
        <v>80</v>
      </c>
      <c r="B25" t="s">
        <v>81</v>
      </c>
      <c r="C25" s="17">
        <v>44855</v>
      </c>
      <c r="D25" s="7">
        <v>6500000</v>
      </c>
      <c r="E25" t="s">
        <v>65</v>
      </c>
      <c r="F25" t="s">
        <v>30</v>
      </c>
      <c r="G25" s="7">
        <v>6500000</v>
      </c>
      <c r="H25" s="7">
        <v>3643930</v>
      </c>
      <c r="I25" s="12">
        <f t="shared" si="0"/>
        <v>56.060461538461539</v>
      </c>
      <c r="J25" s="7">
        <v>7287865</v>
      </c>
      <c r="K25" s="7">
        <v>1070555</v>
      </c>
      <c r="L25" s="7">
        <f t="shared" si="1"/>
        <v>5429445</v>
      </c>
      <c r="M25" s="7">
        <v>6217310</v>
      </c>
      <c r="N25" s="22">
        <f t="shared" si="2"/>
        <v>0.87327879742203618</v>
      </c>
      <c r="O25" s="27">
        <v>104178</v>
      </c>
      <c r="P25" s="32">
        <f t="shared" si="3"/>
        <v>52.117001670218279</v>
      </c>
      <c r="Q25" s="37" t="s">
        <v>82</v>
      </c>
      <c r="R25" s="42">
        <f>ABS(N39-N25)*100</f>
        <v>32.135855462401295</v>
      </c>
      <c r="U25" s="7">
        <v>932477</v>
      </c>
      <c r="V25" t="s">
        <v>32</v>
      </c>
      <c r="W25" s="17" t="s">
        <v>33</v>
      </c>
      <c r="Y25" t="s">
        <v>79</v>
      </c>
      <c r="Z25">
        <v>201</v>
      </c>
      <c r="AA25">
        <v>0</v>
      </c>
    </row>
    <row r="26" spans="1:27" x14ac:dyDescent="0.25">
      <c r="A26" t="s">
        <v>123</v>
      </c>
      <c r="B26" t="s">
        <v>124</v>
      </c>
      <c r="C26" s="17">
        <v>44875</v>
      </c>
      <c r="D26" s="7">
        <v>1250000</v>
      </c>
      <c r="E26" t="s">
        <v>29</v>
      </c>
      <c r="F26" t="s">
        <v>30</v>
      </c>
      <c r="G26" s="7">
        <v>1250000</v>
      </c>
      <c r="H26" s="7">
        <v>597850</v>
      </c>
      <c r="I26" s="12">
        <v>47.827999999999996</v>
      </c>
      <c r="J26" s="7">
        <v>1195701</v>
      </c>
      <c r="K26" s="7">
        <v>241744</v>
      </c>
      <c r="L26" s="7">
        <v>1008256</v>
      </c>
      <c r="M26" s="7">
        <v>1177724.6913600001</v>
      </c>
      <c r="N26" s="22">
        <v>0.85610500263495126</v>
      </c>
      <c r="O26" s="27">
        <v>12882</v>
      </c>
      <c r="P26" s="32">
        <v>78.268591833566219</v>
      </c>
      <c r="Q26" s="37" t="s">
        <v>69</v>
      </c>
      <c r="R26" s="42">
        <v>33.726350658509794</v>
      </c>
      <c r="U26" s="7">
        <v>218783</v>
      </c>
      <c r="V26" t="s">
        <v>32</v>
      </c>
      <c r="W26" s="17" t="s">
        <v>33</v>
      </c>
      <c r="Y26" t="s">
        <v>34</v>
      </c>
      <c r="Z26">
        <v>201</v>
      </c>
      <c r="AA26">
        <v>0</v>
      </c>
    </row>
    <row r="27" spans="1:27" s="49" customFormat="1" x14ac:dyDescent="0.25">
      <c r="A27" s="49" t="s">
        <v>83</v>
      </c>
      <c r="B27" s="49" t="s">
        <v>84</v>
      </c>
      <c r="C27" s="50">
        <v>44704</v>
      </c>
      <c r="D27" s="51">
        <v>887500</v>
      </c>
      <c r="E27" s="49" t="s">
        <v>29</v>
      </c>
      <c r="F27" s="49" t="s">
        <v>30</v>
      </c>
      <c r="G27" s="51">
        <v>887500</v>
      </c>
      <c r="H27" s="51">
        <v>502330</v>
      </c>
      <c r="I27" s="52">
        <f t="shared" si="0"/>
        <v>56.600563380281685</v>
      </c>
      <c r="J27" s="51">
        <v>1004658</v>
      </c>
      <c r="K27" s="51">
        <v>237222</v>
      </c>
      <c r="L27" s="51">
        <f t="shared" si="1"/>
        <v>650278</v>
      </c>
      <c r="M27" s="51">
        <v>947451.85184999998</v>
      </c>
      <c r="N27" s="53">
        <f t="shared" si="2"/>
        <v>0.68634411208365198</v>
      </c>
      <c r="O27" s="54">
        <v>7807</v>
      </c>
      <c r="P27" s="55">
        <f t="shared" si="3"/>
        <v>83.294223133085694</v>
      </c>
      <c r="Q27" s="56" t="s">
        <v>69</v>
      </c>
      <c r="R27" s="57">
        <f>ABS(N39-N27)*100</f>
        <v>50.829323996239715</v>
      </c>
      <c r="U27" s="51">
        <v>218783</v>
      </c>
      <c r="V27" s="49" t="s">
        <v>32</v>
      </c>
      <c r="W27" s="50" t="s">
        <v>33</v>
      </c>
      <c r="Y27" s="49" t="s">
        <v>34</v>
      </c>
      <c r="Z27" s="49">
        <v>201</v>
      </c>
      <c r="AA27" s="49">
        <v>0</v>
      </c>
    </row>
    <row r="28" spans="1:27" s="49" customFormat="1" x14ac:dyDescent="0.25">
      <c r="A28" s="49" t="s">
        <v>85</v>
      </c>
      <c r="B28" s="49" t="s">
        <v>86</v>
      </c>
      <c r="C28" s="50">
        <v>44673</v>
      </c>
      <c r="D28" s="51">
        <v>975000</v>
      </c>
      <c r="E28" s="49" t="s">
        <v>29</v>
      </c>
      <c r="F28" s="49" t="s">
        <v>30</v>
      </c>
      <c r="G28" s="51">
        <v>975000</v>
      </c>
      <c r="H28" s="51">
        <v>362390</v>
      </c>
      <c r="I28" s="52">
        <f t="shared" si="0"/>
        <v>37.16820512820513</v>
      </c>
      <c r="J28" s="51">
        <v>724772</v>
      </c>
      <c r="K28" s="51">
        <v>117779</v>
      </c>
      <c r="L28" s="51">
        <f t="shared" si="1"/>
        <v>857221</v>
      </c>
      <c r="M28" s="51">
        <v>463353.43511000002</v>
      </c>
      <c r="N28" s="53">
        <f t="shared" si="2"/>
        <v>1.8500370020921413</v>
      </c>
      <c r="O28" s="54">
        <v>11100</v>
      </c>
      <c r="P28" s="55">
        <f t="shared" si="3"/>
        <v>77.227117117117118</v>
      </c>
      <c r="Q28" s="56" t="s">
        <v>87</v>
      </c>
      <c r="R28" s="57">
        <f>ABS(N39-N28)*100</f>
        <v>65.539965004609215</v>
      </c>
      <c r="U28" s="51">
        <v>101930</v>
      </c>
      <c r="V28" s="49" t="s">
        <v>32</v>
      </c>
      <c r="W28" s="50" t="s">
        <v>33</v>
      </c>
      <c r="Y28" s="49" t="s">
        <v>79</v>
      </c>
      <c r="Z28" s="49">
        <v>201</v>
      </c>
      <c r="AA28" s="49">
        <v>0</v>
      </c>
    </row>
    <row r="29" spans="1:27" x14ac:dyDescent="0.25">
      <c r="A29" t="s">
        <v>88</v>
      </c>
      <c r="B29" t="s">
        <v>89</v>
      </c>
      <c r="C29" s="17">
        <v>44718</v>
      </c>
      <c r="D29" s="7">
        <v>1855000</v>
      </c>
      <c r="E29" t="s">
        <v>65</v>
      </c>
      <c r="F29" t="s">
        <v>30</v>
      </c>
      <c r="G29" s="7">
        <v>1855000</v>
      </c>
      <c r="H29" s="7">
        <v>821660</v>
      </c>
      <c r="I29" s="12">
        <f t="shared" si="0"/>
        <v>44.294339622641509</v>
      </c>
      <c r="J29" s="7">
        <v>1643311</v>
      </c>
      <c r="K29" s="7">
        <v>205487</v>
      </c>
      <c r="L29" s="7">
        <f t="shared" si="1"/>
        <v>1649513</v>
      </c>
      <c r="M29" s="7">
        <v>1097575.5725199999</v>
      </c>
      <c r="N29" s="22">
        <f t="shared" si="2"/>
        <v>1.5028696349471122</v>
      </c>
      <c r="O29" s="27">
        <v>21462</v>
      </c>
      <c r="P29" s="32">
        <f t="shared" si="3"/>
        <v>76.857375827043143</v>
      </c>
      <c r="Q29" s="37" t="s">
        <v>87</v>
      </c>
      <c r="R29" s="42">
        <f>ABS(N39-N29)*100</f>
        <v>30.823228290106307</v>
      </c>
      <c r="U29" s="7">
        <v>188179</v>
      </c>
      <c r="V29" t="s">
        <v>32</v>
      </c>
      <c r="W29" s="17" t="s">
        <v>33</v>
      </c>
      <c r="Y29" t="s">
        <v>79</v>
      </c>
      <c r="Z29">
        <v>301</v>
      </c>
      <c r="AA29">
        <v>0</v>
      </c>
    </row>
    <row r="30" spans="1:27" x14ac:dyDescent="0.25">
      <c r="A30" t="s">
        <v>140</v>
      </c>
      <c r="B30" t="s">
        <v>141</v>
      </c>
      <c r="C30" s="17">
        <v>45002</v>
      </c>
      <c r="D30" s="7">
        <v>450000</v>
      </c>
      <c r="E30" t="s">
        <v>29</v>
      </c>
      <c r="F30" t="s">
        <v>30</v>
      </c>
      <c r="G30" s="7">
        <v>450000</v>
      </c>
      <c r="H30" s="7">
        <v>168550</v>
      </c>
      <c r="I30" s="12">
        <f t="shared" si="0"/>
        <v>37.455555555555556</v>
      </c>
      <c r="J30" s="7">
        <v>337103</v>
      </c>
      <c r="K30" s="7">
        <f>40446+9233</f>
        <v>49679</v>
      </c>
      <c r="L30" s="7">
        <f t="shared" si="1"/>
        <v>400321</v>
      </c>
      <c r="M30" s="7">
        <v>219408</v>
      </c>
      <c r="N30" s="22">
        <f t="shared" si="2"/>
        <v>1.8245506089112522</v>
      </c>
      <c r="O30" s="27">
        <v>4742</v>
      </c>
      <c r="P30" s="32">
        <f t="shared" si="3"/>
        <v>84.420286798819063</v>
      </c>
      <c r="Q30" s="37" t="s">
        <v>87</v>
      </c>
      <c r="R30" s="42">
        <f>ABS(N40-N30)*100</f>
        <v>182.45506089112521</v>
      </c>
      <c r="U30" s="7">
        <v>40446</v>
      </c>
    </row>
    <row r="31" spans="1:27" s="49" customFormat="1" x14ac:dyDescent="0.25">
      <c r="A31" s="49" t="s">
        <v>112</v>
      </c>
      <c r="B31" s="49" t="s">
        <v>113</v>
      </c>
      <c r="C31" s="50">
        <v>44882</v>
      </c>
      <c r="D31" s="51">
        <v>250000</v>
      </c>
      <c r="E31" s="49" t="s">
        <v>29</v>
      </c>
      <c r="F31" s="49" t="s">
        <v>30</v>
      </c>
      <c r="G31" s="51">
        <v>250000</v>
      </c>
      <c r="H31" s="51">
        <v>135350</v>
      </c>
      <c r="I31" s="52">
        <v>54.14</v>
      </c>
      <c r="J31" s="51">
        <v>270690</v>
      </c>
      <c r="K31" s="51">
        <v>58439</v>
      </c>
      <c r="L31" s="51">
        <v>191561</v>
      </c>
      <c r="M31" s="51">
        <v>162023.66412</v>
      </c>
      <c r="N31" s="53">
        <v>1.1823026040080398</v>
      </c>
      <c r="O31" s="54">
        <v>4797</v>
      </c>
      <c r="P31" s="55">
        <v>39.933500104231811</v>
      </c>
      <c r="Q31" s="56" t="s">
        <v>87</v>
      </c>
      <c r="R31" s="57">
        <v>3.1480115998465452</v>
      </c>
      <c r="U31" s="51">
        <v>46872</v>
      </c>
      <c r="V31" s="49" t="s">
        <v>32</v>
      </c>
      <c r="W31" s="50" t="s">
        <v>33</v>
      </c>
      <c r="Y31" s="49" t="s">
        <v>79</v>
      </c>
      <c r="Z31" s="49">
        <v>201</v>
      </c>
      <c r="AA31" s="49">
        <v>0</v>
      </c>
    </row>
    <row r="32" spans="1:27" x14ac:dyDescent="0.25">
      <c r="A32" t="s">
        <v>144</v>
      </c>
      <c r="B32" t="s">
        <v>145</v>
      </c>
      <c r="C32" s="17">
        <v>45015</v>
      </c>
      <c r="D32" s="7">
        <v>325000</v>
      </c>
      <c r="E32" t="s">
        <v>65</v>
      </c>
      <c r="F32" t="s">
        <v>30</v>
      </c>
      <c r="G32" s="7">
        <v>325000</v>
      </c>
      <c r="H32" s="7">
        <v>83900</v>
      </c>
      <c r="I32" s="12">
        <f>+(H32/G32)*100</f>
        <v>25.815384615384616</v>
      </c>
      <c r="J32" s="7">
        <v>167793</v>
      </c>
      <c r="K32" s="7">
        <f>43594+15611</f>
        <v>59205</v>
      </c>
      <c r="L32" s="7">
        <f t="shared" si="1"/>
        <v>265795</v>
      </c>
      <c r="M32" s="7">
        <f>49429+33463</f>
        <v>82892</v>
      </c>
      <c r="N32" s="22">
        <f t="shared" si="2"/>
        <v>3.2065217391304346</v>
      </c>
      <c r="O32" s="27">
        <v>2030</v>
      </c>
      <c r="P32" s="32">
        <f t="shared" si="3"/>
        <v>130.93349753694582</v>
      </c>
      <c r="Q32" s="37" t="s">
        <v>87</v>
      </c>
      <c r="R32" s="42">
        <f>ABS(N42-N32)*100</f>
        <v>320.65217391304344</v>
      </c>
    </row>
    <row r="33" spans="1:27" x14ac:dyDescent="0.25">
      <c r="A33" t="s">
        <v>125</v>
      </c>
      <c r="B33" t="s">
        <v>126</v>
      </c>
      <c r="C33" s="17">
        <v>44939</v>
      </c>
      <c r="D33" s="7">
        <v>500000</v>
      </c>
      <c r="E33" t="s">
        <v>116</v>
      </c>
      <c r="F33" t="s">
        <v>119</v>
      </c>
      <c r="G33" s="7">
        <v>500000</v>
      </c>
      <c r="H33" s="7">
        <v>215650</v>
      </c>
      <c r="I33" s="12">
        <v>43.13</v>
      </c>
      <c r="J33" s="7">
        <v>431303</v>
      </c>
      <c r="K33" s="7">
        <v>45388</v>
      </c>
      <c r="L33" s="7">
        <v>454612</v>
      </c>
      <c r="M33" s="7">
        <v>294591.60304999998</v>
      </c>
      <c r="N33" s="22">
        <v>1.5431940194264135</v>
      </c>
      <c r="O33" s="27">
        <v>7691</v>
      </c>
      <c r="P33" s="32">
        <v>59.109608633467687</v>
      </c>
      <c r="Q33" s="37" t="s">
        <v>87</v>
      </c>
      <c r="R33" s="42">
        <v>34.982551020636436</v>
      </c>
      <c r="U33" s="7">
        <v>43585</v>
      </c>
      <c r="V33" t="s">
        <v>32</v>
      </c>
      <c r="W33" s="17" t="s">
        <v>33</v>
      </c>
      <c r="X33" t="s">
        <v>127</v>
      </c>
      <c r="Y33" t="s">
        <v>79</v>
      </c>
      <c r="Z33">
        <v>201</v>
      </c>
      <c r="AA33">
        <v>0</v>
      </c>
    </row>
    <row r="34" spans="1:27" x14ac:dyDescent="0.25">
      <c r="A34" t="s">
        <v>90</v>
      </c>
      <c r="B34" t="s">
        <v>91</v>
      </c>
      <c r="C34" s="17">
        <v>44673</v>
      </c>
      <c r="D34" s="7">
        <v>360000</v>
      </c>
      <c r="E34" t="s">
        <v>92</v>
      </c>
      <c r="F34" t="s">
        <v>30</v>
      </c>
      <c r="G34" s="7">
        <v>360000</v>
      </c>
      <c r="H34" s="7">
        <v>194910</v>
      </c>
      <c r="I34" s="12">
        <f t="shared" si="0"/>
        <v>54.141666666666666</v>
      </c>
      <c r="J34" s="7">
        <v>389819</v>
      </c>
      <c r="K34" s="7">
        <v>132714</v>
      </c>
      <c r="L34" s="7">
        <f t="shared" si="1"/>
        <v>227286</v>
      </c>
      <c r="M34" s="7">
        <v>135318.42105</v>
      </c>
      <c r="N34" s="22">
        <f t="shared" si="2"/>
        <v>1.6796382801127874</v>
      </c>
      <c r="O34" s="27">
        <v>3736</v>
      </c>
      <c r="P34" s="32">
        <f t="shared" si="3"/>
        <v>60.836723768736618</v>
      </c>
      <c r="Q34" s="37" t="s">
        <v>93</v>
      </c>
      <c r="R34" s="42">
        <f>ABS(N39-N34)*100</f>
        <v>48.50009280667382</v>
      </c>
      <c r="U34" s="7">
        <v>110649</v>
      </c>
      <c r="V34" t="s">
        <v>32</v>
      </c>
      <c r="W34" s="17" t="s">
        <v>33</v>
      </c>
      <c r="Y34" t="s">
        <v>38</v>
      </c>
      <c r="Z34">
        <v>201</v>
      </c>
      <c r="AA34">
        <v>0</v>
      </c>
    </row>
    <row r="35" spans="1:27" x14ac:dyDescent="0.25">
      <c r="A35" t="s">
        <v>128</v>
      </c>
      <c r="B35" t="s">
        <v>129</v>
      </c>
      <c r="C35" s="17">
        <v>44867</v>
      </c>
      <c r="D35" s="7">
        <v>1225000</v>
      </c>
      <c r="E35" t="s">
        <v>29</v>
      </c>
      <c r="F35" t="s">
        <v>119</v>
      </c>
      <c r="G35" s="7">
        <v>1225000</v>
      </c>
      <c r="H35" s="7">
        <f>292820+55870+72310</f>
        <v>421000</v>
      </c>
      <c r="I35" s="12">
        <f t="shared" si="0"/>
        <v>34.367346938775512</v>
      </c>
      <c r="J35" s="7">
        <v>637122</v>
      </c>
      <c r="K35" s="7">
        <v>302040</v>
      </c>
      <c r="L35" s="7">
        <v>922960</v>
      </c>
      <c r="M35" s="7">
        <v>239344.2890625</v>
      </c>
      <c r="N35" s="22">
        <v>3.8562023084619637</v>
      </c>
      <c r="O35" s="27">
        <v>2849</v>
      </c>
      <c r="P35" s="32">
        <v>323.95928395928394</v>
      </c>
      <c r="Q35" s="37" t="s">
        <v>130</v>
      </c>
      <c r="R35" s="42">
        <v>266.28337992419142</v>
      </c>
      <c r="S35" t="s">
        <v>131</v>
      </c>
      <c r="U35" s="7">
        <v>302040</v>
      </c>
      <c r="V35" t="s">
        <v>32</v>
      </c>
      <c r="W35" s="17" t="s">
        <v>33</v>
      </c>
      <c r="X35" t="s">
        <v>132</v>
      </c>
      <c r="Y35" t="s">
        <v>133</v>
      </c>
      <c r="Z35">
        <v>201</v>
      </c>
      <c r="AA35">
        <v>47</v>
      </c>
    </row>
    <row r="36" spans="1:27" s="49" customFormat="1" ht="15.75" thickBot="1" x14ac:dyDescent="0.3">
      <c r="A36" s="49" t="s">
        <v>134</v>
      </c>
      <c r="B36" s="49" t="s">
        <v>135</v>
      </c>
      <c r="C36" s="50">
        <v>44944</v>
      </c>
      <c r="D36" s="51">
        <v>200000</v>
      </c>
      <c r="E36" s="49" t="s">
        <v>65</v>
      </c>
      <c r="F36" s="49" t="s">
        <v>30</v>
      </c>
      <c r="G36" s="51">
        <v>200000</v>
      </c>
      <c r="H36" s="51">
        <v>97620</v>
      </c>
      <c r="I36" s="52">
        <v>48.809999999999995</v>
      </c>
      <c r="J36" s="51">
        <v>195237</v>
      </c>
      <c r="K36" s="51">
        <v>56025</v>
      </c>
      <c r="L36" s="51">
        <v>143975</v>
      </c>
      <c r="M36" s="51">
        <v>108759.375</v>
      </c>
      <c r="N36" s="53">
        <v>1.3237939258109932</v>
      </c>
      <c r="O36" s="54">
        <v>1806</v>
      </c>
      <c r="P36" s="55">
        <v>79.720376522702111</v>
      </c>
      <c r="Q36" s="56" t="s">
        <v>136</v>
      </c>
      <c r="R36" s="57">
        <v>13.042541659094397</v>
      </c>
      <c r="U36" s="51">
        <v>52322</v>
      </c>
      <c r="V36" s="49" t="s">
        <v>32</v>
      </c>
      <c r="W36" s="50" t="s">
        <v>33</v>
      </c>
      <c r="Y36" s="49" t="s">
        <v>38</v>
      </c>
      <c r="Z36" s="49">
        <v>201</v>
      </c>
      <c r="AA36" s="49">
        <v>0</v>
      </c>
    </row>
    <row r="37" spans="1:27" ht="15.75" thickTop="1" x14ac:dyDescent="0.25">
      <c r="A37" s="3"/>
      <c r="B37" s="3"/>
      <c r="C37" s="18" t="s">
        <v>94</v>
      </c>
      <c r="D37" s="8">
        <f>+SUM(D2:D34)</f>
        <v>72536170</v>
      </c>
      <c r="E37" s="3"/>
      <c r="F37" s="3"/>
      <c r="G37" s="8">
        <f>+SUM(G2:G36)</f>
        <v>73961170</v>
      </c>
      <c r="H37" s="8">
        <f>+SUM(H2:H36)</f>
        <v>34328130</v>
      </c>
      <c r="I37" s="13"/>
      <c r="J37" s="8">
        <f>+SUM(J2:J36)</f>
        <v>67561158</v>
      </c>
      <c r="K37" s="8"/>
      <c r="L37" s="8">
        <f>+SUM(L2:L36)</f>
        <v>61243940</v>
      </c>
      <c r="M37" s="8">
        <f>+SUM(M2:M36)</f>
        <v>64202304.962482497</v>
      </c>
      <c r="N37" s="23"/>
      <c r="O37" s="28"/>
      <c r="P37" s="33">
        <f>AVERAGE(P2:P34)</f>
        <v>77.547173924310243</v>
      </c>
      <c r="Q37" s="38"/>
      <c r="R37" s="43">
        <f>ABS(N39-N38)*100</f>
        <v>24.071614881528134</v>
      </c>
      <c r="S37" s="3"/>
      <c r="T37" s="3"/>
      <c r="U37" s="8"/>
      <c r="V37" s="3"/>
      <c r="W37" s="18"/>
      <c r="X37" s="3"/>
      <c r="Y37" s="3"/>
      <c r="Z37" s="3"/>
      <c r="AA37" s="3"/>
    </row>
    <row r="38" spans="1:27" x14ac:dyDescent="0.25">
      <c r="A38" s="4"/>
      <c r="B38" s="4"/>
      <c r="C38" s="19"/>
      <c r="D38" s="9"/>
      <c r="E38" s="4"/>
      <c r="F38" s="4"/>
      <c r="G38" s="9"/>
      <c r="H38" s="9" t="s">
        <v>95</v>
      </c>
      <c r="I38" s="14">
        <f>H37/G37*100</f>
        <v>46.413719523366112</v>
      </c>
      <c r="J38" s="9"/>
      <c r="K38" s="9"/>
      <c r="L38" s="9"/>
      <c r="M38" s="9" t="s">
        <v>96</v>
      </c>
      <c r="N38" s="24">
        <f>L37/M37</f>
        <v>0.95392120323076779</v>
      </c>
      <c r="O38" s="29"/>
      <c r="P38" s="34" t="s">
        <v>97</v>
      </c>
      <c r="Q38" s="39">
        <f>STDEV(N2:N34)</f>
        <v>0.63923198449319163</v>
      </c>
      <c r="R38" s="44"/>
      <c r="S38" s="4"/>
      <c r="T38" s="4"/>
      <c r="U38" s="9"/>
      <c r="V38" s="4"/>
      <c r="W38" s="19"/>
      <c r="X38" s="4"/>
      <c r="Y38" s="4"/>
      <c r="Z38" s="4"/>
      <c r="AA38" s="4"/>
    </row>
    <row r="39" spans="1:27" x14ac:dyDescent="0.25">
      <c r="A39" s="5"/>
      <c r="B39" s="5"/>
      <c r="C39" s="20"/>
      <c r="D39" s="10"/>
      <c r="E39" s="5"/>
      <c r="F39" s="5"/>
      <c r="G39" s="10"/>
      <c r="H39" s="10" t="s">
        <v>98</v>
      </c>
      <c r="I39" s="15">
        <f>STDEV(I2:I34)</f>
        <v>13.362013021704518</v>
      </c>
      <c r="J39" s="10"/>
      <c r="K39" s="10"/>
      <c r="L39" s="10"/>
      <c r="M39" s="10" t="s">
        <v>99</v>
      </c>
      <c r="N39" s="25">
        <f>AVERAGE(N2:N34)</f>
        <v>1.1946373520460492</v>
      </c>
      <c r="O39" s="30"/>
      <c r="P39" s="35" t="s">
        <v>100</v>
      </c>
      <c r="Q39" s="46">
        <f>AVERAGE(R2:R34)</f>
        <v>63.563540919809263</v>
      </c>
      <c r="R39" s="45" t="s">
        <v>101</v>
      </c>
      <c r="S39" s="5">
        <f>+(Q39/N39)</f>
        <v>53.207394537718343</v>
      </c>
      <c r="T39" s="5"/>
      <c r="U39" s="10"/>
      <c r="V39" s="5"/>
      <c r="W39" s="20"/>
      <c r="X39" s="5"/>
      <c r="Y39" s="5"/>
      <c r="Z39" s="5"/>
      <c r="AA39" s="5"/>
    </row>
    <row r="41" spans="1:27" x14ac:dyDescent="0.25">
      <c r="E41" s="47">
        <v>17</v>
      </c>
      <c r="F41" t="s">
        <v>102</v>
      </c>
      <c r="G41" s="7">
        <f>+SUM(G2:G3,G5:G6,G8:G15,G17,G19:G20,G26:G27)</f>
        <v>34736170</v>
      </c>
      <c r="H41" s="7">
        <f>+SUM(H2:H3,H5:H6,H8:H15,H17,H19:H20,H26:H27)</f>
        <v>16405080</v>
      </c>
      <c r="I41" s="12">
        <f>+H41/G41*100</f>
        <v>47.227659238194654</v>
      </c>
    </row>
    <row r="42" spans="1:27" x14ac:dyDescent="0.25">
      <c r="E42" s="47">
        <v>4</v>
      </c>
      <c r="F42" t="s">
        <v>103</v>
      </c>
      <c r="G42" s="7">
        <f>+SUM(G4,G34:G36)</f>
        <v>7135000</v>
      </c>
      <c r="H42" s="7">
        <f>+SUM(H4,H34:H36)</f>
        <v>3128260</v>
      </c>
      <c r="I42" s="12">
        <f>+H42/G42*100</f>
        <v>43.843868255080586</v>
      </c>
    </row>
    <row r="43" spans="1:27" x14ac:dyDescent="0.25">
      <c r="E43" s="47">
        <f>+COUNTA(E7,E21)</f>
        <v>2</v>
      </c>
      <c r="F43" t="s">
        <v>104</v>
      </c>
      <c r="G43" s="7">
        <f>+SUM(G7,G21)</f>
        <v>13350000</v>
      </c>
      <c r="H43" s="7">
        <f>+SUM(H7,H21)</f>
        <v>5345500</v>
      </c>
      <c r="I43" s="12">
        <f>+H43/G43*100</f>
        <v>40.041198501872657</v>
      </c>
    </row>
    <row r="44" spans="1:27" x14ac:dyDescent="0.25">
      <c r="E44" s="47">
        <v>12</v>
      </c>
      <c r="F44" t="s">
        <v>105</v>
      </c>
      <c r="G44" s="7">
        <f>+SUM(G16,G18,G22:G25,G28:G33)</f>
        <v>18740000</v>
      </c>
      <c r="H44" s="7">
        <f>+SUM(H16,H18,H22:H25,H28:H33)</f>
        <v>9449290</v>
      </c>
      <c r="I44" s="12">
        <f>+H44/G44*100</f>
        <v>50.423105656350053</v>
      </c>
    </row>
  </sheetData>
  <conditionalFormatting sqref="A2:AA36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668F1-DCE1-460E-A5E8-EF1CCB46E54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Dingman</dc:creator>
  <cp:lastModifiedBy>Matthew Dingman</cp:lastModifiedBy>
  <dcterms:created xsi:type="dcterms:W3CDTF">2022-11-07T20:46:27Z</dcterms:created>
  <dcterms:modified xsi:type="dcterms:W3CDTF">2023-05-18T12:38:49Z</dcterms:modified>
</cp:coreProperties>
</file>